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k\Desktop\"/>
    </mc:Choice>
  </mc:AlternateContent>
  <bookViews>
    <workbookView xWindow="0" yWindow="0" windowWidth="28800" windowHeight="13200"/>
  </bookViews>
  <sheets>
    <sheet name="Beitragsrechner2013ff" sheetId="1" r:id="rId1"/>
  </sheets>
  <definedNames>
    <definedName name="_xlnm.Print_Area" localSheetId="0">Beitragsrechner2013ff!$A$1:$C$88</definedName>
  </definedNames>
  <calcPr calcId="162913"/>
</workbook>
</file>

<file path=xl/calcChain.xml><?xml version="1.0" encoding="utf-8"?>
<calcChain xmlns="http://schemas.openxmlformats.org/spreadsheetml/2006/main">
  <c r="C51" i="1" l="1"/>
  <c r="D48" i="1"/>
  <c r="D3" i="1" l="1"/>
  <c r="C50" i="1" l="1"/>
  <c r="C52" i="1" l="1"/>
  <c r="D8" i="1"/>
  <c r="D7" i="1"/>
  <c r="A3" i="1"/>
  <c r="D50" i="1" l="1"/>
  <c r="A5" i="1"/>
  <c r="C53" i="1" l="1"/>
  <c r="C54" i="1" s="1"/>
  <c r="A76" i="1"/>
  <c r="D77" i="1"/>
  <c r="D9" i="1"/>
  <c r="A59" i="1" l="1"/>
  <c r="A56" i="1"/>
  <c r="D49" i="1"/>
  <c r="A77" i="1" l="1"/>
  <c r="A78" i="1" s="1"/>
  <c r="A86" i="1" l="1"/>
  <c r="A84" i="1"/>
  <c r="A85" i="1"/>
  <c r="A82" i="1"/>
  <c r="A81" i="1"/>
  <c r="A79" i="1"/>
  <c r="A80" i="1"/>
  <c r="D51" i="1"/>
  <c r="D6" i="1" l="1"/>
  <c r="D5" i="1"/>
  <c r="D76" i="1"/>
  <c r="A1" i="1"/>
  <c r="A49" i="1"/>
  <c r="A6" i="1"/>
  <c r="E71" i="1"/>
  <c r="E73" i="1" s="1"/>
  <c r="F71" i="1"/>
  <c r="F73" i="1" s="1"/>
  <c r="G71" i="1"/>
  <c r="G73" i="1" s="1"/>
  <c r="H71" i="1"/>
  <c r="H73" i="1" s="1"/>
  <c r="E75" i="1"/>
  <c r="F80" i="1" s="1"/>
  <c r="F75" i="1"/>
  <c r="G80" i="1" s="1"/>
  <c r="G75" i="1"/>
  <c r="H75" i="1"/>
  <c r="H82" i="1"/>
  <c r="G82" i="1"/>
  <c r="F82" i="1"/>
  <c r="E82" i="1"/>
  <c r="H80" i="1"/>
  <c r="G78" i="1"/>
  <c r="F78" i="1"/>
  <c r="E78" i="1"/>
  <c r="E80" i="1"/>
  <c r="C56" i="1" l="1"/>
  <c r="C59" i="1" s="1"/>
  <c r="F81" i="1"/>
  <c r="F83" i="1" s="1"/>
  <c r="E81" i="1"/>
  <c r="E83" i="1" s="1"/>
  <c r="G81" i="1"/>
  <c r="G83" i="1" s="1"/>
  <c r="H81" i="1"/>
  <c r="H83" i="1" s="1"/>
  <c r="C79" i="1" l="1"/>
  <c r="C78" i="1"/>
  <c r="C60" i="1"/>
  <c r="C57" i="1"/>
  <c r="C80" i="1" l="1"/>
  <c r="D80" i="1" s="1"/>
  <c r="D78" i="1"/>
  <c r="C61" i="1"/>
  <c r="C58" i="1"/>
  <c r="C81" i="1" l="1"/>
  <c r="C84" i="1" s="1"/>
  <c r="C85" i="1" s="1"/>
  <c r="C86" i="1" s="1"/>
  <c r="C82" i="1" l="1"/>
  <c r="C83" i="1" s="1"/>
</calcChain>
</file>

<file path=xl/sharedStrings.xml><?xml version="1.0" encoding="utf-8"?>
<sst xmlns="http://schemas.openxmlformats.org/spreadsheetml/2006/main" count="72" uniqueCount="70">
  <si>
    <t>Berufsbeginn (Alter)</t>
  </si>
  <si>
    <t>Ordination im drittvorangegangenen Jahr   J / N</t>
  </si>
  <si>
    <t>Allgemeinmedizin</t>
  </si>
  <si>
    <t>Anästesiologie und Intensivmedizin</t>
  </si>
  <si>
    <t>Arbeitsmedizin</t>
  </si>
  <si>
    <t>Augenheilkunde und Optometrie</t>
  </si>
  <si>
    <t>Blutgruppenserologie und Transfusionsmedizin</t>
  </si>
  <si>
    <t>Chirurgie</t>
  </si>
  <si>
    <t>Frauenheilkunde und Geburtshilfe</t>
  </si>
  <si>
    <t>Hals-, Nasen- und Ohrenkrankheiten</t>
  </si>
  <si>
    <t>Haut- und Geschlechtskrankheiten</t>
  </si>
  <si>
    <t>Herzchirurgie</t>
  </si>
  <si>
    <t>Hygiene und Mikrobiologie</t>
  </si>
  <si>
    <t>Immunologie</t>
  </si>
  <si>
    <t>Innere Medizin</t>
  </si>
  <si>
    <t>Kinder- und Jugendchirurgie</t>
  </si>
  <si>
    <t>Kinder- und Jugendheilkunde</t>
  </si>
  <si>
    <t>Lungenkrankheiten</t>
  </si>
  <si>
    <t>Medizinische Radiologie-Diagnostik</t>
  </si>
  <si>
    <t>Medizinische und Chemische Labordiagnostik</t>
  </si>
  <si>
    <t>Mund-, Kiefer- und Gesichtschirurgie</t>
  </si>
  <si>
    <t>Neurochirurgie</t>
  </si>
  <si>
    <t>Neurologie</t>
  </si>
  <si>
    <t>Neurologie und Psychiatrie</t>
  </si>
  <si>
    <t>Neuropathologie</t>
  </si>
  <si>
    <t>Nuklearmedizin</t>
  </si>
  <si>
    <t>Orthopädie und Orthopädische Chirurgie</t>
  </si>
  <si>
    <t>Pathologie</t>
  </si>
  <si>
    <t>Physikalische Medizin und Allgemeine Rehabilitation</t>
  </si>
  <si>
    <t>Plastische, Ästhetische und Rekonstruktive Chirurgie</t>
  </si>
  <si>
    <t>Psychiatrie und Neurologie</t>
  </si>
  <si>
    <t>Psychiatrie und Psychotherapeutische Medizin</t>
  </si>
  <si>
    <t>Radiologie</t>
  </si>
  <si>
    <t>Spezifische Prophylaxe und Tropenmedizin</t>
  </si>
  <si>
    <t>Strahlentherapie-Radioonkologie</t>
  </si>
  <si>
    <t>Thoraxchirurgie</t>
  </si>
  <si>
    <t>Unfallchirurgie</t>
  </si>
  <si>
    <t>Urologie</t>
  </si>
  <si>
    <t>Zahnarzt</t>
  </si>
  <si>
    <t>Turnusarzt</t>
  </si>
  <si>
    <t>Bitte auswählen</t>
  </si>
  <si>
    <t>Berufsspezifischer Pauschalbetrag (BPB Gehalt)</t>
  </si>
  <si>
    <t>Berufsspezifischer Pauschalbetrag (BPB Umsatz)</t>
  </si>
  <si>
    <t>Beitragssatz</t>
  </si>
  <si>
    <t>davon Grundrente pa</t>
  </si>
  <si>
    <t>davon Zusatzleistung pa</t>
  </si>
  <si>
    <t>davon Grundrente monatlich</t>
  </si>
  <si>
    <t>davon Zusatzleistung monatlich</t>
  </si>
  <si>
    <t>Ausnahme-Regeln bei Neueintritten, Turnusärzten sowie bei 100% Anwartschaft GR und Höchstbeitragsgrenze ZUL sind hier nicht berücksichtigt.</t>
  </si>
  <si>
    <t>Bruttogrundgehalt drittvorangegangenes Jahr</t>
  </si>
  <si>
    <t>Umsatz drittvorangegangenes Jahr</t>
  </si>
  <si>
    <t>Berufsspezifische Abzugsbeträge</t>
  </si>
  <si>
    <t>Pauschaler Freibetrag</t>
  </si>
  <si>
    <t>Bemessungsgrundlage WFF</t>
  </si>
  <si>
    <t>Hinweise:</t>
  </si>
  <si>
    <t>Zwischensumme (zahn-)ärztliches Einkommen v. Steuer pa</t>
  </si>
  <si>
    <t>Allgemeiner Pauschalbetrag pa</t>
  </si>
  <si>
    <t>Bemessungsgrundlage für Pensionsbeiträge pa</t>
  </si>
  <si>
    <t>Unverbindliche Beispielrechnung, gerundet!</t>
  </si>
  <si>
    <t>davon Zusatzleistung und Anspruchserwerb, pa, gerundet</t>
  </si>
  <si>
    <t>Darstellung der Auswirkung der Übergangsregelung in 2013 (unverbindlich)                                                                            €</t>
  </si>
  <si>
    <t>erfaßter bzw. rechnerischer Pensionsbeitrag Gesamt pa</t>
  </si>
  <si>
    <t>Zwischensumme (zahn-)ärztliches Einkommen vor Steuer)</t>
  </si>
  <si>
    <t>Referenztabelle</t>
  </si>
  <si>
    <t>Beitragsjahr</t>
  </si>
  <si>
    <t>3-vgJ</t>
  </si>
  <si>
    <t>Ü-Regel</t>
  </si>
  <si>
    <t>Weitergegebene Sonderklassegelder</t>
  </si>
  <si>
    <t>T€ 10 überschreitende Vertretungshonorare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</si>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</sst>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\+\ &quot;€&quot;\ #,##0;\-\ &quot;€&quot;\ #,##0"/>
    <numFmt numFmtId="166" formatCode="\+\ #,##0.00;\-#,##0.00"/>
    <numFmt numFmtId="167" formatCode="#,##0.00_ ;\-#,##0.00\ 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4">
    <xf numFmtId="0" fontId="0" fillId="0" borderId="0" xfId="0"/>
    <xf numFmtId="4" fontId="4" fillId="0" borderId="0" xfId="0" applyNumberFormat="1" applyFont="1" applyBorder="1" applyAlignment="1" applyProtection="1">
      <alignment horizontal="center"/>
      <protection hidden="1"/>
    </xf>
    <xf numFmtId="3" fontId="4" fillId="0" borderId="2" xfId="0" applyNumberFormat="1" applyFont="1" applyBorder="1" applyAlignment="1" applyProtection="1">
      <alignment horizontal="right"/>
      <protection hidden="1"/>
    </xf>
    <xf numFmtId="3" fontId="4" fillId="0" borderId="2" xfId="0" applyNumberFormat="1" applyFont="1" applyBorder="1" applyProtection="1">
      <protection hidden="1"/>
    </xf>
    <xf numFmtId="165" fontId="5" fillId="0" borderId="2" xfId="0" applyNumberFormat="1" applyFont="1" applyFill="1" applyBorder="1" applyProtection="1">
      <protection hidden="1"/>
    </xf>
    <xf numFmtId="9" fontId="6" fillId="3" borderId="2" xfId="1" applyNumberFormat="1" applyFont="1" applyFill="1" applyBorder="1" applyAlignment="1" applyProtection="1">
      <alignment horizontal="center"/>
      <protection hidden="1"/>
    </xf>
    <xf numFmtId="165" fontId="4" fillId="0" borderId="2" xfId="0" applyNumberFormat="1" applyFont="1" applyBorder="1" applyProtection="1">
      <protection hidden="1"/>
    </xf>
    <xf numFmtId="3" fontId="6" fillId="2" borderId="2" xfId="0" applyNumberFormat="1" applyFont="1" applyFill="1" applyBorder="1" applyProtection="1">
      <protection hidden="1"/>
    </xf>
    <xf numFmtId="3" fontId="4" fillId="0" borderId="0" xfId="0" applyNumberFormat="1" applyFont="1" applyBorder="1" applyAlignment="1" applyProtection="1">
      <alignment horizontal="right"/>
      <protection hidden="1"/>
    </xf>
    <xf numFmtId="4" fontId="3" fillId="0" borderId="0" xfId="0" applyNumberFormat="1" applyFont="1" applyBorder="1" applyAlignment="1" applyProtection="1">
      <alignment horizontal="center"/>
      <protection hidden="1"/>
    </xf>
    <xf numFmtId="4" fontId="8" fillId="4" borderId="5" xfId="0" applyNumberFormat="1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 wrapText="1"/>
      <protection locked="0"/>
    </xf>
    <xf numFmtId="10" fontId="8" fillId="0" borderId="5" xfId="1" applyNumberFormat="1" applyFont="1" applyFill="1" applyBorder="1" applyAlignment="1" applyProtection="1">
      <alignment horizontal="center"/>
      <protection hidden="1"/>
    </xf>
    <xf numFmtId="3" fontId="8" fillId="0" borderId="2" xfId="0" applyNumberFormat="1" applyFont="1" applyFill="1" applyBorder="1" applyAlignment="1" applyProtection="1">
      <alignment horizontal="right"/>
      <protection hidden="1"/>
    </xf>
    <xf numFmtId="164" fontId="8" fillId="0" borderId="2" xfId="1" applyNumberFormat="1" applyFont="1" applyFill="1" applyBorder="1" applyAlignment="1" applyProtection="1">
      <alignment horizontal="center"/>
      <protection hidden="1"/>
    </xf>
    <xf numFmtId="4" fontId="8" fillId="4" borderId="5" xfId="0" applyNumberFormat="1" applyFont="1" applyFill="1" applyBorder="1" applyAlignment="1" applyProtection="1">
      <alignment horizontal="right"/>
      <protection locked="0"/>
    </xf>
    <xf numFmtId="4" fontId="8" fillId="0" borderId="5" xfId="0" applyNumberFormat="1" applyFont="1" applyBorder="1" applyAlignment="1" applyProtection="1">
      <alignment horizontal="right"/>
      <protection hidden="1"/>
    </xf>
    <xf numFmtId="4" fontId="8" fillId="0" borderId="5" xfId="0" applyNumberFormat="1" applyFont="1" applyFill="1" applyBorder="1" applyAlignment="1" applyProtection="1">
      <alignment horizontal="right"/>
      <protection hidden="1"/>
    </xf>
    <xf numFmtId="4" fontId="7" fillId="2" borderId="5" xfId="0" applyNumberFormat="1" applyFont="1" applyFill="1" applyBorder="1" applyAlignment="1" applyProtection="1">
      <alignment horizontal="right"/>
      <protection hidden="1"/>
    </xf>
    <xf numFmtId="4" fontId="3" fillId="0" borderId="5" xfId="0" applyNumberFormat="1" applyFont="1" applyBorder="1" applyAlignment="1" applyProtection="1">
      <alignment horizontal="right"/>
      <protection hidden="1"/>
    </xf>
    <xf numFmtId="4" fontId="3" fillId="0" borderId="19" xfId="0" applyNumberFormat="1" applyFont="1" applyBorder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2" fillId="0" borderId="0" xfId="0" applyFont="1" applyAlignment="1" applyProtection="1">
      <protection hidden="1"/>
    </xf>
    <xf numFmtId="9" fontId="13" fillId="0" borderId="0" xfId="0" applyNumberFormat="1" applyFont="1" applyProtection="1">
      <protection hidden="1"/>
    </xf>
    <xf numFmtId="0" fontId="4" fillId="3" borderId="0" xfId="0" applyFont="1" applyFill="1" applyProtection="1">
      <protection hidden="1"/>
    </xf>
    <xf numFmtId="0" fontId="6" fillId="0" borderId="12" xfId="0" applyFont="1" applyBorder="1" applyAlignment="1" applyProtection="1">
      <alignment horizontal="center"/>
      <protection hidden="1"/>
    </xf>
    <xf numFmtId="3" fontId="4" fillId="4" borderId="2" xfId="0" applyNumberFormat="1" applyFont="1" applyFill="1" applyBorder="1" applyAlignment="1" applyProtection="1">
      <alignment horizontal="right"/>
      <protection hidden="1"/>
    </xf>
    <xf numFmtId="9" fontId="4" fillId="0" borderId="2" xfId="1" applyNumberFormat="1" applyFont="1" applyFill="1" applyBorder="1" applyAlignment="1" applyProtection="1">
      <alignment horizontal="center"/>
      <protection hidden="1"/>
    </xf>
    <xf numFmtId="3" fontId="4" fillId="0" borderId="2" xfId="0" applyNumberFormat="1" applyFont="1" applyFill="1" applyBorder="1" applyAlignment="1" applyProtection="1">
      <alignment horizontal="right"/>
      <protection hidden="1"/>
    </xf>
    <xf numFmtId="164" fontId="4" fillId="0" borderId="2" xfId="1" applyNumberFormat="1" applyFont="1" applyFill="1" applyBorder="1" applyAlignment="1" applyProtection="1">
      <alignment horizontal="center"/>
      <protection hidden="1"/>
    </xf>
    <xf numFmtId="165" fontId="14" fillId="0" borderId="2" xfId="0" applyNumberFormat="1" applyFont="1" applyBorder="1" applyProtection="1">
      <protection hidden="1"/>
    </xf>
    <xf numFmtId="0" fontId="3" fillId="0" borderId="19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10" fillId="0" borderId="0" xfId="0" applyFont="1" applyFill="1" applyBorder="1" applyProtection="1">
      <protection hidden="1"/>
    </xf>
    <xf numFmtId="0" fontId="15" fillId="0" borderId="0" xfId="0" applyFont="1" applyProtection="1">
      <protection hidden="1"/>
    </xf>
    <xf numFmtId="3" fontId="8" fillId="0" borderId="2" xfId="1" applyNumberFormat="1" applyFont="1" applyFill="1" applyBorder="1" applyAlignment="1" applyProtection="1">
      <alignment horizontal="right"/>
      <protection hidden="1"/>
    </xf>
    <xf numFmtId="0" fontId="0" fillId="0" borderId="0" xfId="0" quotePrefix="1" applyProtection="1">
      <protection hidden="1"/>
    </xf>
    <xf numFmtId="4" fontId="8" fillId="0" borderId="20" xfId="0" applyNumberFormat="1" applyFont="1" applyBorder="1" applyAlignment="1" applyProtection="1">
      <protection hidden="1"/>
    </xf>
    <xf numFmtId="4" fontId="3" fillId="0" borderId="2" xfId="0" applyNumberFormat="1" applyFont="1" applyBorder="1" applyAlignment="1" applyProtection="1">
      <alignment horizontal="right"/>
      <protection hidden="1"/>
    </xf>
    <xf numFmtId="3" fontId="9" fillId="2" borderId="20" xfId="0" applyNumberFormat="1" applyFont="1" applyFill="1" applyBorder="1" applyAlignment="1" applyProtection="1">
      <alignment horizontal="right"/>
      <protection hidden="1"/>
    </xf>
    <xf numFmtId="166" fontId="7" fillId="0" borderId="2" xfId="0" applyNumberFormat="1" applyFont="1" applyFill="1" applyBorder="1" applyAlignment="1" applyProtection="1">
      <protection hidden="1"/>
    </xf>
    <xf numFmtId="0" fontId="12" fillId="0" borderId="0" xfId="0" quotePrefix="1" applyFont="1" applyProtection="1">
      <protection hidden="1"/>
    </xf>
    <xf numFmtId="9" fontId="8" fillId="0" borderId="2" xfId="1" applyNumberFormat="1" applyFont="1" applyFill="1" applyBorder="1" applyAlignment="1" applyProtection="1">
      <alignment horizontal="center"/>
      <protection hidden="1"/>
    </xf>
    <xf numFmtId="1" fontId="9" fillId="5" borderId="20" xfId="0" applyNumberFormat="1" applyFont="1" applyFill="1" applyBorder="1" applyAlignment="1" applyProtection="1">
      <alignment horizontal="center"/>
      <protection hidden="1"/>
    </xf>
    <xf numFmtId="4" fontId="9" fillId="4" borderId="25" xfId="0" applyNumberFormat="1" applyFont="1" applyFill="1" applyBorder="1" applyAlignment="1" applyProtection="1">
      <alignment horizontal="center"/>
      <protection locked="0"/>
    </xf>
    <xf numFmtId="4" fontId="9" fillId="2" borderId="25" xfId="0" applyNumberFormat="1" applyFont="1" applyFill="1" applyBorder="1" applyAlignment="1" applyProtection="1">
      <protection hidden="1"/>
    </xf>
    <xf numFmtId="4" fontId="8" fillId="0" borderId="2" xfId="0" applyNumberFormat="1" applyFont="1" applyBorder="1" applyAlignment="1" applyProtection="1">
      <alignment horizontal="right"/>
      <protection hidden="1"/>
    </xf>
    <xf numFmtId="4" fontId="8" fillId="0" borderId="26" xfId="0" applyNumberFormat="1" applyFont="1" applyBorder="1" applyAlignment="1" applyProtection="1">
      <alignment horizontal="right"/>
      <protection hidden="1"/>
    </xf>
    <xf numFmtId="4" fontId="8" fillId="0" borderId="27" xfId="0" applyNumberFormat="1" applyFont="1" applyBorder="1" applyAlignment="1" applyProtection="1">
      <alignment horizontal="center"/>
      <protection hidden="1"/>
    </xf>
    <xf numFmtId="4" fontId="9" fillId="2" borderId="28" xfId="0" applyNumberFormat="1" applyFont="1" applyFill="1" applyBorder="1" applyAlignment="1" applyProtection="1">
      <alignment horizontal="right"/>
      <protection hidden="1"/>
    </xf>
    <xf numFmtId="4" fontId="8" fillId="0" borderId="29" xfId="0" applyNumberFormat="1" applyFont="1" applyBorder="1" applyAlignment="1" applyProtection="1">
      <alignment horizontal="right"/>
      <protection hidden="1"/>
    </xf>
    <xf numFmtId="0" fontId="17" fillId="4" borderId="20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protection hidden="1"/>
    </xf>
    <xf numFmtId="0" fontId="9" fillId="3" borderId="21" xfId="0" applyFont="1" applyFill="1" applyBorder="1" applyProtection="1">
      <protection hidden="1"/>
    </xf>
    <xf numFmtId="0" fontId="8" fillId="3" borderId="22" xfId="0" applyFont="1" applyFill="1" applyBorder="1" applyProtection="1">
      <protection hidden="1"/>
    </xf>
    <xf numFmtId="0" fontId="8" fillId="3" borderId="6" xfId="0" applyFont="1" applyFill="1" applyBorder="1" applyProtection="1">
      <protection hidden="1"/>
    </xf>
    <xf numFmtId="0" fontId="9" fillId="0" borderId="18" xfId="0" applyFont="1" applyFill="1" applyBorder="1" applyProtection="1">
      <protection hidden="1"/>
    </xf>
    <xf numFmtId="0" fontId="8" fillId="0" borderId="11" xfId="0" applyFont="1" applyFill="1" applyBorder="1" applyProtection="1">
      <protection hidden="1"/>
    </xf>
    <xf numFmtId="0" fontId="8" fillId="0" borderId="12" xfId="0" applyFont="1" applyFill="1" applyBorder="1" applyProtection="1">
      <protection hidden="1"/>
    </xf>
    <xf numFmtId="0" fontId="16" fillId="4" borderId="18" xfId="0" applyFont="1" applyFill="1" applyBorder="1" applyAlignment="1" applyProtection="1">
      <alignment horizontal="left"/>
      <protection hidden="1"/>
    </xf>
    <xf numFmtId="0" fontId="8" fillId="0" borderId="3" xfId="0" applyFont="1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8" fillId="0" borderId="0" xfId="0" applyFont="1" applyAlignment="1" applyProtection="1">
      <protection hidden="1"/>
    </xf>
    <xf numFmtId="9" fontId="0" fillId="0" borderId="0" xfId="0" applyNumberFormat="1" applyProtection="1">
      <protection hidden="1"/>
    </xf>
    <xf numFmtId="0" fontId="8" fillId="0" borderId="3" xfId="0" applyFont="1" applyFill="1" applyBorder="1" applyAlignment="1" applyProtection="1">
      <alignment horizontal="left"/>
      <protection hidden="1"/>
    </xf>
    <xf numFmtId="0" fontId="8" fillId="0" borderId="10" xfId="0" applyFont="1" applyBorder="1" applyAlignment="1" applyProtection="1">
      <protection hidden="1"/>
    </xf>
    <xf numFmtId="0" fontId="9" fillId="2" borderId="7" xfId="0" applyFont="1" applyFill="1" applyBorder="1" applyAlignment="1" applyProtection="1">
      <alignment horizontal="left"/>
      <protection hidden="1"/>
    </xf>
    <xf numFmtId="4" fontId="3" fillId="2" borderId="23" xfId="0" applyNumberFormat="1" applyFont="1" applyFill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protection hidden="1"/>
    </xf>
    <xf numFmtId="0" fontId="8" fillId="0" borderId="9" xfId="0" applyFont="1" applyBorder="1" applyAlignment="1" applyProtection="1">
      <alignment horizontal="left"/>
      <protection hidden="1"/>
    </xf>
    <xf numFmtId="4" fontId="8" fillId="0" borderId="10" xfId="0" applyNumberFormat="1" applyFont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left"/>
      <protection hidden="1"/>
    </xf>
    <xf numFmtId="4" fontId="3" fillId="2" borderId="0" xfId="0" applyNumberFormat="1" applyFont="1" applyFill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left"/>
      <protection hidden="1"/>
    </xf>
    <xf numFmtId="4" fontId="3" fillId="0" borderId="1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0" fontId="9" fillId="3" borderId="0" xfId="0" applyFont="1" applyFill="1" applyAlignment="1" applyProtection="1">
      <protection hidden="1"/>
    </xf>
    <xf numFmtId="0" fontId="8" fillId="3" borderId="0" xfId="0" applyFont="1" applyFill="1" applyAlignment="1" applyProtection="1">
      <protection hidden="1"/>
    </xf>
    <xf numFmtId="0" fontId="11" fillId="0" borderId="18" xfId="0" applyFont="1" applyFill="1" applyBorder="1" applyAlignment="1" applyProtection="1">
      <alignment horizontal="left"/>
      <protection hidden="1"/>
    </xf>
    <xf numFmtId="0" fontId="9" fillId="0" borderId="11" xfId="0" applyFont="1" applyFill="1" applyBorder="1" applyAlignment="1" applyProtection="1">
      <alignment horizont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left"/>
      <protection hidden="1"/>
    </xf>
    <xf numFmtId="3" fontId="8" fillId="0" borderId="6" xfId="0" quotePrefix="1" applyNumberFormat="1" applyFont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/>
      <protection hidden="1"/>
    </xf>
    <xf numFmtId="3" fontId="8" fillId="0" borderId="6" xfId="0" applyNumberFormat="1" applyFont="1" applyBorder="1" applyAlignment="1" applyProtection="1">
      <alignment horizontal="center"/>
      <protection hidden="1"/>
    </xf>
    <xf numFmtId="3" fontId="8" fillId="0" borderId="2" xfId="0" applyNumberFormat="1" applyFont="1" applyBorder="1" applyAlignment="1" applyProtection="1">
      <alignment horizontal="center"/>
      <protection hidden="1"/>
    </xf>
    <xf numFmtId="3" fontId="9" fillId="0" borderId="12" xfId="0" applyNumberFormat="1" applyFont="1" applyFill="1" applyBorder="1" applyAlignment="1" applyProtection="1">
      <alignment horizontal="center"/>
      <protection hidden="1"/>
    </xf>
    <xf numFmtId="0" fontId="9" fillId="5" borderId="20" xfId="0" applyFont="1" applyFill="1" applyBorder="1" applyAlignment="1" applyProtection="1">
      <alignment horizontal="left"/>
      <protection hidden="1"/>
    </xf>
    <xf numFmtId="0" fontId="0" fillId="5" borderId="11" xfId="0" applyFill="1" applyBorder="1" applyProtection="1">
      <protection hidden="1"/>
    </xf>
    <xf numFmtId="0" fontId="9" fillId="0" borderId="13" xfId="0" applyFont="1" applyFill="1" applyBorder="1" applyAlignment="1" applyProtection="1">
      <alignment horizontal="left"/>
      <protection hidden="1"/>
    </xf>
    <xf numFmtId="0" fontId="3" fillId="0" borderId="5" xfId="0" applyFont="1" applyFill="1" applyBorder="1" applyAlignment="1" applyProtection="1">
      <alignment horizontal="left"/>
      <protection hidden="1"/>
    </xf>
    <xf numFmtId="4" fontId="8" fillId="0" borderId="2" xfId="0" applyNumberFormat="1" applyFont="1" applyBorder="1" applyAlignment="1" applyProtection="1">
      <alignment horizontal="center"/>
      <protection hidden="1"/>
    </xf>
    <xf numFmtId="0" fontId="3" fillId="0" borderId="6" xfId="0" quotePrefix="1" applyFont="1" applyBorder="1" applyAlignment="1" applyProtection="1">
      <alignment horizontal="center"/>
      <protection hidden="1"/>
    </xf>
    <xf numFmtId="0" fontId="8" fillId="0" borderId="5" xfId="0" applyFont="1" applyFill="1" applyBorder="1" applyAlignment="1" applyProtection="1">
      <alignment horizontal="left"/>
      <protection hidden="1"/>
    </xf>
    <xf numFmtId="0" fontId="8" fillId="0" borderId="12" xfId="0" applyFont="1" applyBorder="1" applyAlignment="1" applyProtection="1">
      <protection hidden="1"/>
    </xf>
    <xf numFmtId="0" fontId="9" fillId="2" borderId="13" xfId="0" applyFont="1" applyFill="1" applyBorder="1" applyAlignment="1" applyProtection="1">
      <alignment horizontal="left"/>
      <protection hidden="1"/>
    </xf>
    <xf numFmtId="0" fontId="9" fillId="2" borderId="14" xfId="0" applyFont="1" applyFill="1" applyBorder="1" applyAlignment="1" applyProtection="1">
      <protection hidden="1"/>
    </xf>
    <xf numFmtId="0" fontId="8" fillId="0" borderId="15" xfId="0" applyFont="1" applyBorder="1" applyAlignment="1" applyProtection="1">
      <alignment horizontal="left"/>
      <protection hidden="1"/>
    </xf>
    <xf numFmtId="0" fontId="8" fillId="0" borderId="16" xfId="0" applyFont="1" applyBorder="1" applyAlignment="1" applyProtection="1">
      <alignment horizontal="left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8" fillId="4" borderId="5" xfId="0" applyFont="1" applyFill="1" applyBorder="1" applyAlignment="1" applyProtection="1">
      <alignment horizontal="center"/>
      <protection locked="0"/>
    </xf>
    <xf numFmtId="167" fontId="10" fillId="0" borderId="24" xfId="2" applyNumberFormat="1" applyFont="1" applyBorder="1" applyAlignment="1" applyProtection="1">
      <protection hidden="1"/>
    </xf>
    <xf numFmtId="4" fontId="8" fillId="0" borderId="5" xfId="0" applyNumberFormat="1" applyFont="1" applyBorder="1" applyAlignment="1" applyProtection="1">
      <alignment horizontal="center"/>
      <protection hidden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W111"/>
  <sheetViews>
    <sheetView tabSelected="1" zoomScale="85" zoomScaleNormal="85" workbookViewId="0">
      <pane ySplit="4" topLeftCell="A5" activePane="bottomLeft" state="frozen"/>
      <selection pane="bottomLeft" activeCell="C9" sqref="C9"/>
    </sheetView>
  </sheetViews>
  <sheetFormatPr baseColWidth="10" defaultRowHeight="15" outlineLevelRow="1" outlineLevelCol="1" x14ac:dyDescent="0.25"/>
  <cols>
    <col min="1" max="1" width="73" style="22" customWidth="1"/>
    <col min="2" max="2" width="22.42578125" style="22" customWidth="1"/>
    <col min="3" max="3" width="51.42578125" style="22" bestFit="1" customWidth="1"/>
    <col min="4" max="4" width="59.5703125" style="22" customWidth="1"/>
    <col min="5" max="5" width="9.42578125" style="22" hidden="1" customWidth="1" outlineLevel="1"/>
    <col min="6" max="6" width="14.5703125" style="22" hidden="1" customWidth="1" outlineLevel="1"/>
    <col min="7" max="7" width="13" style="22" hidden="1" customWidth="1" outlineLevel="1"/>
    <col min="8" max="8" width="12.5703125" style="22" hidden="1" customWidth="1" outlineLevel="1"/>
    <col min="9" max="9" width="16.140625" style="22" customWidth="1" collapsed="1"/>
    <col min="10" max="10" width="22" style="22" customWidth="1"/>
    <col min="11" max="11" width="18.28515625" style="22" customWidth="1"/>
    <col min="12" max="20" width="11.42578125" style="22"/>
    <col min="21" max="23" width="0" style="22" hidden="1" customWidth="1"/>
    <col min="24" max="16384" width="11.42578125" style="22"/>
  </cols>
  <sheetData>
    <row r="1" spans="1:23" ht="25.5" customHeight="1" x14ac:dyDescent="0.35">
      <c r="A1" s="59" t="str">
        <f>"Beitragsrechner  - Ermittlung Pensionsbeitrag "&amp;C3&amp;" (unverbindlich)                                                    €"</f>
        <v>Beitragsrechner  - Ermittlung Pensionsbeitrag 2025 (unverbindlich)                                                    €</v>
      </c>
      <c r="B1" s="60"/>
      <c r="C1" s="61"/>
      <c r="D1" s="21"/>
      <c r="E1" s="21"/>
      <c r="F1" s="21"/>
      <c r="G1" s="21"/>
      <c r="H1" s="21"/>
    </row>
    <row r="2" spans="1:23" ht="7.5" customHeight="1" x14ac:dyDescent="0.35">
      <c r="A2" s="62"/>
      <c r="B2" s="63"/>
      <c r="C2" s="64"/>
      <c r="D2" s="21"/>
      <c r="E2" s="21"/>
      <c r="F2" s="21"/>
      <c r="G2" s="21"/>
      <c r="H2" s="21"/>
    </row>
    <row r="3" spans="1:23" ht="21" x14ac:dyDescent="0.35">
      <c r="A3" s="65" t="str">
        <f>"bitte das Beitragsjahr und die 6 gelben Felder in Spalte C ausfüllen "&amp;IF(C3&lt;=2015,"; optional auch c77","")</f>
        <v xml:space="preserve">bitte das Beitragsjahr und die 6 gelben Felder in Spalte C ausfüllen </v>
      </c>
      <c r="B3" s="64"/>
      <c r="C3" s="57">
        <v>2025</v>
      </c>
      <c r="D3" s="47" t="str">
        <f>IF(OR(C3=2013,C3=2014,C3=2015,C3=2016,C3=2017,C3&gt;=2018,C3&gt;=2019),"gewünschtes Beitragsjahr bitte eingeben!","Beitragsjahr muss &gt;=  2013 sein (Jahr der Beitragsreform)!")</f>
        <v>gewünschtes Beitragsjahr bitte eingeben!</v>
      </c>
      <c r="E3" s="21"/>
      <c r="F3" s="21"/>
      <c r="G3" s="21"/>
      <c r="H3" s="21"/>
      <c r="U3" s="22" t="s">
        <v>63</v>
      </c>
    </row>
    <row r="4" spans="1:23" ht="24" hidden="1" x14ac:dyDescent="0.35">
      <c r="A4" s="66" t="s">
        <v>0</v>
      </c>
      <c r="B4" s="24"/>
      <c r="C4" s="10">
        <v>25</v>
      </c>
      <c r="D4" s="21"/>
      <c r="E4" s="21"/>
      <c r="F4" s="21"/>
      <c r="G4" s="21"/>
      <c r="H4" s="21"/>
    </row>
    <row r="5" spans="1:23" ht="21.75" customHeight="1" x14ac:dyDescent="0.35">
      <c r="A5" s="67" t="str">
        <f>"Gehalt drittvorangegangenes Jahr ("&amp;C3-3&amp;") pa"</f>
        <v>Gehalt drittvorangegangenes Jahr (2022) pa</v>
      </c>
      <c r="B5" s="68"/>
      <c r="C5" s="15">
        <v>0</v>
      </c>
      <c r="D5" s="23" t="str">
        <f>IF(OR(ISTEXT(C5),C5=""),"bitte Einnahmen aus angestellter Tätigkeit eingeben, ggf. 0 eintragen",".")</f>
        <v>.</v>
      </c>
      <c r="E5" s="21"/>
      <c r="F5" s="21"/>
      <c r="G5" s="21"/>
      <c r="H5" s="21"/>
      <c r="U5" s="22" t="s">
        <v>64</v>
      </c>
      <c r="V5" s="22" t="s">
        <v>65</v>
      </c>
      <c r="W5" s="22" t="s">
        <v>66</v>
      </c>
    </row>
    <row r="6" spans="1:23" ht="21.75" customHeight="1" x14ac:dyDescent="0.35">
      <c r="A6" s="67" t="str">
        <f>"und/oder Umsatz drittvorangegangenes Jahr ("&amp;C3-3&amp;") pa"</f>
        <v>und/oder Umsatz drittvorangegangenes Jahr (2022) pa</v>
      </c>
      <c r="B6" s="68"/>
      <c r="C6" s="15">
        <v>0</v>
      </c>
      <c r="D6" s="23" t="str">
        <f>IF(OR(ISTEXT(C6),C6=""),"bitte Einnahmen aus selbsständiger Tätigkeit eingeben; ggf. 0 eintragen",".")</f>
        <v>.</v>
      </c>
      <c r="E6" s="21"/>
      <c r="F6" s="21"/>
      <c r="G6" s="21"/>
      <c r="H6" s="21"/>
      <c r="U6" s="22">
        <v>2013</v>
      </c>
      <c r="V6" s="22">
        <v>2010</v>
      </c>
      <c r="W6" s="69">
        <v>0.25</v>
      </c>
    </row>
    <row r="7" spans="1:23" ht="19.5" customHeight="1" x14ac:dyDescent="0.35">
      <c r="A7" s="66" t="s">
        <v>67</v>
      </c>
      <c r="B7" s="68"/>
      <c r="C7" s="15">
        <v>0</v>
      </c>
      <c r="D7" s="23" t="str">
        <f>"betrifft i.d.R. nur Primarärzte; als Negativbetrag eingeben bzw. 0,00 wenn nicht vorhanden"</f>
        <v>betrifft i.d.R. nur Primarärzte; als Negativbetrag eingeben bzw. 0,00 wenn nicht vorhanden</v>
      </c>
      <c r="E7" s="21"/>
      <c r="F7" s="21"/>
      <c r="G7" s="21"/>
      <c r="H7" s="21"/>
      <c r="U7" s="22">
        <v>2020</v>
      </c>
      <c r="V7" s="22">
        <v>2017</v>
      </c>
      <c r="W7" s="69">
        <v>1</v>
      </c>
    </row>
    <row r="8" spans="1:23" ht="19.5" customHeight="1" x14ac:dyDescent="0.35">
      <c r="A8" s="66" t="s">
        <v>68</v>
      </c>
      <c r="B8" s="68"/>
      <c r="C8" s="15">
        <v>0</v>
      </c>
      <c r="D8" s="23" t="str">
        <f>"abgezogen werden kann nur der T€ 10 überschreitende Teil von gezahlten Vertretungshonoraren; als Negativbetrag eingeben bzw. 0,00 wenn nicht vorhanden"</f>
        <v>abgezogen werden kann nur der T€ 10 überschreitende Teil von gezahlten Vertretungshonoraren; als Negativbetrag eingeben bzw. 0,00 wenn nicht vorhanden</v>
      </c>
      <c r="E8" s="21"/>
      <c r="F8" s="21"/>
      <c r="G8" s="21"/>
      <c r="H8" s="21"/>
      <c r="U8" s="22">
        <v>2021</v>
      </c>
      <c r="V8" s="22">
        <v>2018</v>
      </c>
      <c r="W8" s="69">
        <v>1</v>
      </c>
    </row>
    <row r="9" spans="1:23" ht="60.75" customHeight="1" x14ac:dyDescent="0.35">
      <c r="A9" s="66" t="s">
        <v>1</v>
      </c>
      <c r="B9" s="68"/>
      <c r="C9" s="10" t="s">
        <v>69</v>
      </c>
      <c r="D9" s="23" t="str">
        <f>IF(OR(C9="J",C9="j",C9="N",C9="n"),".","bitte nur J oder N eingeben")</f>
        <v>.</v>
      </c>
      <c r="E9" s="21"/>
      <c r="F9" s="21"/>
      <c r="G9" s="21"/>
      <c r="H9" s="21"/>
      <c r="U9" s="22">
        <v>2014</v>
      </c>
      <c r="V9" s="22">
        <v>2011</v>
      </c>
      <c r="W9" s="69">
        <v>0.5</v>
      </c>
    </row>
    <row r="10" spans="1:23" ht="20.25" hidden="1" customHeight="1" outlineLevel="1" x14ac:dyDescent="0.35">
      <c r="A10" s="66"/>
      <c r="B10" s="68"/>
      <c r="C10" s="111" t="s">
        <v>2</v>
      </c>
      <c r="D10" s="54">
        <v>-0.5</v>
      </c>
      <c r="E10" s="21"/>
      <c r="F10" s="21"/>
      <c r="G10" s="21"/>
      <c r="H10" s="21"/>
    </row>
    <row r="11" spans="1:23" ht="21.75" hidden="1" customHeight="1" outlineLevel="1" x14ac:dyDescent="0.35">
      <c r="A11" s="66"/>
      <c r="B11" s="68"/>
      <c r="C11" s="111" t="s">
        <v>3</v>
      </c>
      <c r="D11" s="54">
        <v>-0.5</v>
      </c>
      <c r="E11" s="21"/>
      <c r="F11" s="21"/>
      <c r="G11" s="21"/>
      <c r="H11" s="21"/>
    </row>
    <row r="12" spans="1:23" ht="23.25" hidden="1" customHeight="1" outlineLevel="1" x14ac:dyDescent="0.35">
      <c r="A12" s="66"/>
      <c r="B12" s="68"/>
      <c r="C12" s="111" t="s">
        <v>4</v>
      </c>
      <c r="D12" s="54">
        <v>-0.5</v>
      </c>
      <c r="E12" s="21"/>
      <c r="F12" s="21"/>
      <c r="G12" s="21"/>
      <c r="H12" s="21"/>
    </row>
    <row r="13" spans="1:23" ht="20.25" hidden="1" customHeight="1" outlineLevel="1" x14ac:dyDescent="0.35">
      <c r="A13" s="66"/>
      <c r="B13" s="68"/>
      <c r="C13" s="111" t="s">
        <v>5</v>
      </c>
      <c r="D13" s="54">
        <v>-0.5</v>
      </c>
      <c r="E13" s="21"/>
      <c r="F13" s="21"/>
      <c r="G13" s="21"/>
      <c r="H13" s="21"/>
    </row>
    <row r="14" spans="1:23" ht="23.25" hidden="1" customHeight="1" outlineLevel="1" x14ac:dyDescent="0.35">
      <c r="A14" s="66"/>
      <c r="B14" s="68"/>
      <c r="C14" s="111" t="s">
        <v>6</v>
      </c>
      <c r="D14" s="54">
        <v>-0.5</v>
      </c>
      <c r="E14" s="21"/>
      <c r="F14" s="21"/>
      <c r="G14" s="21"/>
      <c r="H14" s="21"/>
    </row>
    <row r="15" spans="1:23" ht="23.25" hidden="1" customHeight="1" outlineLevel="1" x14ac:dyDescent="0.35">
      <c r="A15" s="66"/>
      <c r="B15" s="68"/>
      <c r="C15" s="111" t="s">
        <v>7</v>
      </c>
      <c r="D15" s="54">
        <v>-0.5</v>
      </c>
      <c r="E15" s="21"/>
      <c r="F15" s="21"/>
      <c r="G15" s="21"/>
      <c r="H15" s="21"/>
    </row>
    <row r="16" spans="1:23" ht="28.5" hidden="1" customHeight="1" outlineLevel="1" x14ac:dyDescent="0.35">
      <c r="A16" s="66"/>
      <c r="B16" s="68"/>
      <c r="C16" s="111" t="s">
        <v>8</v>
      </c>
      <c r="D16" s="54">
        <v>-0.5</v>
      </c>
      <c r="E16" s="21"/>
      <c r="F16" s="21"/>
      <c r="G16" s="21"/>
      <c r="H16" s="21"/>
    </row>
    <row r="17" spans="1:8" ht="16.5" hidden="1" customHeight="1" outlineLevel="1" x14ac:dyDescent="0.35">
      <c r="A17" s="66"/>
      <c r="B17" s="68"/>
      <c r="C17" s="111" t="s">
        <v>9</v>
      </c>
      <c r="D17" s="54">
        <v>-0.5</v>
      </c>
      <c r="E17" s="21"/>
      <c r="F17" s="21"/>
      <c r="G17" s="21"/>
      <c r="H17" s="21"/>
    </row>
    <row r="18" spans="1:8" ht="24.75" hidden="1" customHeight="1" outlineLevel="1" x14ac:dyDescent="0.35">
      <c r="A18" s="66"/>
      <c r="B18" s="68"/>
      <c r="C18" s="111" t="s">
        <v>10</v>
      </c>
      <c r="D18" s="54">
        <v>-0.5</v>
      </c>
      <c r="E18" s="21"/>
      <c r="F18" s="21"/>
      <c r="G18" s="21"/>
      <c r="H18" s="21"/>
    </row>
    <row r="19" spans="1:8" ht="29.25" hidden="1" customHeight="1" outlineLevel="1" x14ac:dyDescent="0.35">
      <c r="A19" s="66"/>
      <c r="B19" s="68"/>
      <c r="C19" s="111" t="s">
        <v>11</v>
      </c>
      <c r="D19" s="54">
        <v>-0.5</v>
      </c>
      <c r="E19" s="21"/>
      <c r="F19" s="21"/>
      <c r="G19" s="21"/>
      <c r="H19" s="21"/>
    </row>
    <row r="20" spans="1:8" ht="16.5" hidden="1" customHeight="1" outlineLevel="1" x14ac:dyDescent="0.35">
      <c r="A20" s="66"/>
      <c r="B20" s="68"/>
      <c r="C20" s="111" t="s">
        <v>12</v>
      </c>
      <c r="D20" s="54">
        <v>-0.5</v>
      </c>
      <c r="E20" s="21"/>
      <c r="F20" s="21"/>
      <c r="G20" s="21"/>
      <c r="H20" s="21"/>
    </row>
    <row r="21" spans="1:8" ht="28.5" hidden="1" customHeight="1" outlineLevel="1" x14ac:dyDescent="0.35">
      <c r="A21" s="66"/>
      <c r="B21" s="68"/>
      <c r="C21" s="111" t="s">
        <v>13</v>
      </c>
      <c r="D21" s="54">
        <v>-0.5</v>
      </c>
      <c r="E21" s="21"/>
      <c r="F21" s="21"/>
      <c r="G21" s="21"/>
      <c r="H21" s="21"/>
    </row>
    <row r="22" spans="1:8" ht="19.5" hidden="1" customHeight="1" outlineLevel="1" x14ac:dyDescent="0.35">
      <c r="A22" s="66"/>
      <c r="B22" s="68"/>
      <c r="C22" s="111" t="s">
        <v>14</v>
      </c>
      <c r="D22" s="54">
        <v>-0.5</v>
      </c>
      <c r="E22" s="21"/>
      <c r="F22" s="21"/>
      <c r="G22" s="21"/>
      <c r="H22" s="21"/>
    </row>
    <row r="23" spans="1:8" ht="19.5" hidden="1" customHeight="1" outlineLevel="1" x14ac:dyDescent="0.35">
      <c r="A23" s="66"/>
      <c r="B23" s="68"/>
      <c r="C23" s="111" t="s">
        <v>15</v>
      </c>
      <c r="D23" s="54">
        <v>-0.5</v>
      </c>
      <c r="E23" s="21"/>
      <c r="F23" s="21"/>
      <c r="G23" s="21"/>
      <c r="H23" s="21"/>
    </row>
    <row r="24" spans="1:8" ht="29.25" hidden="1" customHeight="1" outlineLevel="1" x14ac:dyDescent="0.35">
      <c r="A24" s="66"/>
      <c r="B24" s="68"/>
      <c r="C24" s="111" t="s">
        <v>16</v>
      </c>
      <c r="D24" s="54">
        <v>-0.5</v>
      </c>
      <c r="E24" s="21"/>
      <c r="F24" s="21"/>
      <c r="G24" s="21"/>
      <c r="H24" s="21"/>
    </row>
    <row r="25" spans="1:8" ht="25.5" hidden="1" customHeight="1" outlineLevel="1" x14ac:dyDescent="0.35">
      <c r="A25" s="66"/>
      <c r="B25" s="68"/>
      <c r="C25" s="111" t="s">
        <v>17</v>
      </c>
      <c r="D25" s="54">
        <v>-0.5</v>
      </c>
      <c r="E25" s="21"/>
      <c r="F25" s="21"/>
      <c r="G25" s="21"/>
      <c r="H25" s="21"/>
    </row>
    <row r="26" spans="1:8" ht="18.75" hidden="1" customHeight="1" outlineLevel="1" x14ac:dyDescent="0.35">
      <c r="A26" s="66"/>
      <c r="B26" s="68"/>
      <c r="C26" s="111" t="s">
        <v>18</v>
      </c>
      <c r="D26" s="54">
        <v>-0.6</v>
      </c>
      <c r="E26" s="21"/>
      <c r="F26" s="21"/>
      <c r="G26" s="21"/>
      <c r="H26" s="21"/>
    </row>
    <row r="27" spans="1:8" ht="28.5" hidden="1" customHeight="1" outlineLevel="1" x14ac:dyDescent="0.35">
      <c r="A27" s="66"/>
      <c r="B27" s="68"/>
      <c r="C27" s="111" t="s">
        <v>19</v>
      </c>
      <c r="D27" s="54">
        <v>-0.6</v>
      </c>
      <c r="E27" s="21"/>
      <c r="F27" s="21"/>
      <c r="G27" s="21"/>
      <c r="H27" s="21"/>
    </row>
    <row r="28" spans="1:8" ht="24" hidden="1" customHeight="1" outlineLevel="1" x14ac:dyDescent="0.35">
      <c r="A28" s="66"/>
      <c r="B28" s="68"/>
      <c r="C28" s="111" t="s">
        <v>20</v>
      </c>
      <c r="D28" s="54">
        <v>-0.5</v>
      </c>
      <c r="E28" s="21"/>
      <c r="F28" s="21"/>
      <c r="G28" s="21"/>
      <c r="H28" s="21"/>
    </row>
    <row r="29" spans="1:8" ht="21.75" hidden="1" customHeight="1" outlineLevel="1" x14ac:dyDescent="0.35">
      <c r="A29" s="66"/>
      <c r="B29" s="68"/>
      <c r="C29" s="111" t="s">
        <v>21</v>
      </c>
      <c r="D29" s="54">
        <v>-0.5</v>
      </c>
      <c r="E29" s="21"/>
      <c r="F29" s="21"/>
      <c r="G29" s="21"/>
      <c r="H29" s="21"/>
    </row>
    <row r="30" spans="1:8" ht="26.25" hidden="1" customHeight="1" outlineLevel="1" x14ac:dyDescent="0.35">
      <c r="A30" s="66"/>
      <c r="B30" s="68"/>
      <c r="C30" s="111" t="s">
        <v>22</v>
      </c>
      <c r="D30" s="54">
        <v>-0.5</v>
      </c>
      <c r="E30" s="21"/>
      <c r="F30" s="21"/>
      <c r="G30" s="21"/>
      <c r="H30" s="21"/>
    </row>
    <row r="31" spans="1:8" ht="20.25" hidden="1" customHeight="1" outlineLevel="1" x14ac:dyDescent="0.35">
      <c r="A31" s="66"/>
      <c r="B31" s="68"/>
      <c r="C31" s="111" t="s">
        <v>23</v>
      </c>
      <c r="D31" s="54">
        <v>-0.5</v>
      </c>
      <c r="E31" s="21"/>
      <c r="F31" s="21"/>
      <c r="G31" s="21"/>
      <c r="H31" s="21"/>
    </row>
    <row r="32" spans="1:8" ht="20.25" hidden="1" customHeight="1" outlineLevel="1" x14ac:dyDescent="0.35">
      <c r="A32" s="66"/>
      <c r="B32" s="68"/>
      <c r="C32" s="111" t="s">
        <v>24</v>
      </c>
      <c r="D32" s="54">
        <v>-0.5</v>
      </c>
      <c r="E32" s="21"/>
      <c r="F32" s="21"/>
      <c r="G32" s="21"/>
      <c r="H32" s="21"/>
    </row>
    <row r="33" spans="1:8" ht="23.25" hidden="1" customHeight="1" outlineLevel="1" x14ac:dyDescent="0.35">
      <c r="A33" s="66"/>
      <c r="B33" s="68"/>
      <c r="C33" s="111" t="s">
        <v>25</v>
      </c>
      <c r="D33" s="54">
        <v>-0.6</v>
      </c>
      <c r="E33" s="21"/>
      <c r="F33" s="21"/>
      <c r="G33" s="21"/>
      <c r="H33" s="21"/>
    </row>
    <row r="34" spans="1:8" ht="21.75" hidden="1" customHeight="1" outlineLevel="1" x14ac:dyDescent="0.35">
      <c r="A34" s="66"/>
      <c r="B34" s="68"/>
      <c r="C34" s="111" t="s">
        <v>26</v>
      </c>
      <c r="D34" s="54">
        <v>-0.5</v>
      </c>
      <c r="E34" s="21"/>
      <c r="F34" s="21"/>
      <c r="G34" s="21"/>
      <c r="H34" s="21"/>
    </row>
    <row r="35" spans="1:8" ht="23.25" hidden="1" customHeight="1" outlineLevel="1" x14ac:dyDescent="0.35">
      <c r="A35" s="66"/>
      <c r="B35" s="68"/>
      <c r="C35" s="111" t="s">
        <v>27</v>
      </c>
      <c r="D35" s="54">
        <v>-0.5</v>
      </c>
      <c r="E35" s="21"/>
      <c r="F35" s="21"/>
      <c r="G35" s="21"/>
      <c r="H35" s="21"/>
    </row>
    <row r="36" spans="1:8" ht="20.25" hidden="1" customHeight="1" outlineLevel="1" x14ac:dyDescent="0.35">
      <c r="A36" s="66"/>
      <c r="B36" s="68"/>
      <c r="C36" s="111" t="s">
        <v>28</v>
      </c>
      <c r="D36" s="54">
        <v>-0.5</v>
      </c>
      <c r="E36" s="21"/>
      <c r="F36" s="21"/>
      <c r="G36" s="21"/>
      <c r="H36" s="21"/>
    </row>
    <row r="37" spans="1:8" ht="20.25" hidden="1" customHeight="1" outlineLevel="1" x14ac:dyDescent="0.35">
      <c r="A37" s="66"/>
      <c r="B37" s="68"/>
      <c r="C37" s="111" t="s">
        <v>29</v>
      </c>
      <c r="D37" s="54">
        <v>-0.5</v>
      </c>
      <c r="E37" s="21"/>
      <c r="F37" s="21"/>
      <c r="G37" s="21"/>
      <c r="H37" s="21"/>
    </row>
    <row r="38" spans="1:8" ht="18.75" hidden="1" customHeight="1" outlineLevel="1" x14ac:dyDescent="0.35">
      <c r="A38" s="66"/>
      <c r="B38" s="68"/>
      <c r="C38" s="111" t="s">
        <v>30</v>
      </c>
      <c r="D38" s="54">
        <v>-0.5</v>
      </c>
      <c r="E38" s="21"/>
      <c r="F38" s="21"/>
      <c r="G38" s="21"/>
      <c r="H38" s="21"/>
    </row>
    <row r="39" spans="1:8" ht="25.5" hidden="1" customHeight="1" outlineLevel="1" x14ac:dyDescent="0.35">
      <c r="A39" s="66"/>
      <c r="B39" s="68"/>
      <c r="C39" s="111" t="s">
        <v>31</v>
      </c>
      <c r="D39" s="54">
        <v>-0.5</v>
      </c>
      <c r="E39" s="21"/>
      <c r="G39" s="21"/>
      <c r="H39" s="21"/>
    </row>
    <row r="40" spans="1:8" ht="18" hidden="1" customHeight="1" outlineLevel="1" x14ac:dyDescent="0.35">
      <c r="A40" s="66"/>
      <c r="B40" s="68"/>
      <c r="C40" s="111" t="s">
        <v>32</v>
      </c>
      <c r="D40" s="54">
        <v>-0.6</v>
      </c>
      <c r="E40" s="21"/>
      <c r="F40" s="21"/>
      <c r="G40" s="21"/>
      <c r="H40" s="21"/>
    </row>
    <row r="41" spans="1:8" ht="18" hidden="1" customHeight="1" outlineLevel="1" x14ac:dyDescent="0.35">
      <c r="A41" s="66"/>
      <c r="B41" s="68"/>
      <c r="C41" s="111" t="s">
        <v>33</v>
      </c>
      <c r="D41" s="54">
        <v>-0.5</v>
      </c>
      <c r="E41" s="21"/>
      <c r="F41" s="21"/>
      <c r="G41" s="21"/>
      <c r="H41" s="21"/>
    </row>
    <row r="42" spans="1:8" ht="24" hidden="1" customHeight="1" outlineLevel="1" x14ac:dyDescent="0.35">
      <c r="A42" s="66"/>
      <c r="B42" s="68"/>
      <c r="C42" s="111" t="s">
        <v>34</v>
      </c>
      <c r="D42" s="54">
        <v>-0.5</v>
      </c>
      <c r="E42" s="21"/>
      <c r="F42" s="21"/>
      <c r="G42" s="21"/>
      <c r="H42" s="21"/>
    </row>
    <row r="43" spans="1:8" ht="44.25" hidden="1" customHeight="1" outlineLevel="1" x14ac:dyDescent="0.35">
      <c r="A43" s="66"/>
      <c r="B43" s="68"/>
      <c r="C43" s="111" t="s">
        <v>35</v>
      </c>
      <c r="D43" s="54">
        <v>-0.5</v>
      </c>
      <c r="E43" s="21"/>
      <c r="F43" s="21"/>
      <c r="G43" s="21"/>
      <c r="H43" s="21"/>
    </row>
    <row r="44" spans="1:8" ht="26.25" hidden="1" customHeight="1" outlineLevel="1" x14ac:dyDescent="0.35">
      <c r="A44" s="66"/>
      <c r="B44" s="68"/>
      <c r="C44" s="111" t="s">
        <v>36</v>
      </c>
      <c r="D44" s="54">
        <v>-0.5</v>
      </c>
      <c r="E44" s="21"/>
      <c r="F44" s="21"/>
      <c r="G44" s="21"/>
      <c r="H44" s="21"/>
    </row>
    <row r="45" spans="1:8" ht="24.75" hidden="1" customHeight="1" outlineLevel="1" x14ac:dyDescent="0.35">
      <c r="A45" s="66"/>
      <c r="B45" s="68"/>
      <c r="C45" s="111" t="s">
        <v>37</v>
      </c>
      <c r="D45" s="54">
        <v>-0.5</v>
      </c>
      <c r="E45" s="21"/>
      <c r="F45" s="21"/>
      <c r="G45" s="21"/>
      <c r="H45" s="21"/>
    </row>
    <row r="46" spans="1:8" ht="25.5" hidden="1" customHeight="1" outlineLevel="1" x14ac:dyDescent="0.35">
      <c r="A46" s="66"/>
      <c r="B46" s="68"/>
      <c r="C46" s="111" t="s">
        <v>38</v>
      </c>
      <c r="D46" s="54">
        <v>-0.6</v>
      </c>
      <c r="E46" s="21"/>
      <c r="F46" s="21"/>
      <c r="G46" s="21"/>
      <c r="H46" s="21"/>
    </row>
    <row r="47" spans="1:8" ht="28.5" hidden="1" customHeight="1" outlineLevel="1" x14ac:dyDescent="0.35">
      <c r="A47" s="66"/>
      <c r="B47" s="68"/>
      <c r="C47" s="111" t="s">
        <v>39</v>
      </c>
      <c r="D47" s="54">
        <v>-0.5</v>
      </c>
      <c r="E47" s="21"/>
      <c r="F47" s="21"/>
      <c r="G47" s="21"/>
      <c r="H47" s="21"/>
    </row>
    <row r="48" spans="1:8" ht="89.25" hidden="1" customHeight="1" outlineLevel="1" x14ac:dyDescent="0.35">
      <c r="A48" s="66"/>
      <c r="B48" s="68"/>
      <c r="C48" s="111" t="s">
        <v>40</v>
      </c>
      <c r="D48" s="113" t="str">
        <f>"keine Fachrichtung ausgewählt"</f>
        <v>keine Fachrichtung ausgewählt</v>
      </c>
      <c r="E48" s="21"/>
      <c r="G48" s="21"/>
      <c r="H48" s="21"/>
    </row>
    <row r="49" spans="1:23" ht="21" collapsed="1" x14ac:dyDescent="0.35">
      <c r="A49" s="70" t="str">
        <f>"Hauptberufsberechtigung "&amp;C3-3</f>
        <v>Hauptberufsberechtigung 2022</v>
      </c>
      <c r="B49" s="68"/>
      <c r="C49" s="11" t="s">
        <v>8</v>
      </c>
      <c r="D49" s="23" t="str">
        <f>IF(OR(ISBLANK(C49),C49="Bitte auswählen"),"bitte in C49 eine Auswahl zur Fachrichtung treffen",".")</f>
        <v>.</v>
      </c>
      <c r="E49" s="21"/>
      <c r="F49" s="21"/>
      <c r="G49" s="21"/>
      <c r="H49" s="21"/>
      <c r="U49" s="22">
        <v>2015</v>
      </c>
      <c r="V49" s="22">
        <v>2012</v>
      </c>
      <c r="W49" s="69">
        <v>0.75</v>
      </c>
    </row>
    <row r="50" spans="1:23" ht="19.5" customHeight="1" x14ac:dyDescent="0.35">
      <c r="A50" s="66" t="s">
        <v>41</v>
      </c>
      <c r="B50" s="68"/>
      <c r="C50" s="12">
        <f>IF(OR(C5&gt;0),-5%,0)</f>
        <v>0</v>
      </c>
      <c r="D50" s="23" t="str">
        <f>IF(C5&gt;0,"Der Abzugsbetrag bezogen auf das 'Gehalt' beträgt € "&amp;TEXT(C5*C50,"#.##0,00"),".")</f>
        <v>.</v>
      </c>
      <c r="E50" s="21"/>
      <c r="F50" s="21"/>
      <c r="G50" s="21"/>
      <c r="H50" s="21"/>
      <c r="I50" s="23"/>
      <c r="U50" s="22">
        <v>2016</v>
      </c>
      <c r="V50" s="22">
        <v>2013</v>
      </c>
      <c r="W50" s="69">
        <v>1</v>
      </c>
    </row>
    <row r="51" spans="1:23" ht="19.5" customHeight="1" x14ac:dyDescent="0.35">
      <c r="A51" s="66" t="s">
        <v>42</v>
      </c>
      <c r="B51" s="68"/>
      <c r="C51" s="12">
        <f>IF(SUM(C6:C8)&lt;=0,0,IF(OR(C9="",C9="n"),-0.05,IFERROR(VLOOKUP(C49,C10:D48,2,FALSE),0)))</f>
        <v>0</v>
      </c>
      <c r="D51" s="23" t="str">
        <f>IF(C6&gt;0,"Der Abzugsbetrag bezogen auf den 'Umsatz' beträgt € "&amp;TEXT(SUM(C6:C8)*C51,"#.##0,00"),".")</f>
        <v>.</v>
      </c>
      <c r="E51" s="21"/>
      <c r="F51" s="21"/>
      <c r="G51" s="21"/>
      <c r="H51" s="21"/>
      <c r="U51" s="22">
        <v>2017</v>
      </c>
      <c r="V51" s="22">
        <v>2014</v>
      </c>
      <c r="W51" s="69">
        <v>1</v>
      </c>
    </row>
    <row r="52" spans="1:23" ht="19.5" customHeight="1" x14ac:dyDescent="0.35">
      <c r="A52" s="66" t="s">
        <v>55</v>
      </c>
      <c r="B52" s="68"/>
      <c r="C52" s="16">
        <f>ROUND((C5*(1+C50))+(SUM(C6:C8)*(1+C51)),2)</f>
        <v>0</v>
      </c>
      <c r="D52" s="24"/>
      <c r="E52" s="21"/>
      <c r="F52" s="21"/>
      <c r="G52" s="21"/>
      <c r="H52" s="21"/>
      <c r="U52" s="22">
        <v>2018</v>
      </c>
      <c r="V52" s="22">
        <v>2015</v>
      </c>
      <c r="W52" s="69">
        <v>1</v>
      </c>
    </row>
    <row r="53" spans="1:23" ht="19.5" customHeight="1" x14ac:dyDescent="0.35">
      <c r="A53" s="66" t="s">
        <v>56</v>
      </c>
      <c r="B53" s="68"/>
      <c r="C53" s="17">
        <f>MAX(-6500,-C52)</f>
        <v>0</v>
      </c>
      <c r="D53" s="24"/>
      <c r="E53" s="21"/>
      <c r="F53" s="21"/>
      <c r="G53" s="21"/>
      <c r="H53" s="21"/>
      <c r="U53" s="22">
        <v>2019</v>
      </c>
      <c r="V53" s="22">
        <v>2016</v>
      </c>
      <c r="W53" s="69">
        <v>1</v>
      </c>
    </row>
    <row r="54" spans="1:23" ht="19.5" customHeight="1" x14ac:dyDescent="0.35">
      <c r="A54" s="66" t="s">
        <v>57</v>
      </c>
      <c r="B54" s="68"/>
      <c r="C54" s="16">
        <f>SUM(C52:C53)</f>
        <v>0</v>
      </c>
      <c r="D54" s="24"/>
      <c r="E54" s="21"/>
      <c r="F54" s="21"/>
      <c r="G54" s="21"/>
      <c r="H54" s="21"/>
      <c r="U54" s="22">
        <v>2022</v>
      </c>
      <c r="V54" s="22">
        <v>2019</v>
      </c>
      <c r="W54" s="69">
        <v>1</v>
      </c>
    </row>
    <row r="55" spans="1:23" ht="19.5" customHeight="1" thickBot="1" x14ac:dyDescent="0.4">
      <c r="A55" s="66" t="s">
        <v>43</v>
      </c>
      <c r="B55" s="71"/>
      <c r="C55" s="12">
        <v>0.12</v>
      </c>
      <c r="D55" s="24"/>
      <c r="E55" s="21"/>
      <c r="F55" s="21"/>
      <c r="G55" s="21"/>
      <c r="H55" s="21"/>
      <c r="U55" s="22">
        <v>2023</v>
      </c>
      <c r="V55" s="22">
        <v>2020</v>
      </c>
      <c r="W55" s="69">
        <v>1</v>
      </c>
    </row>
    <row r="56" spans="1:23" ht="19.5" customHeight="1" x14ac:dyDescent="0.35">
      <c r="A56" s="72" t="str">
        <f>"Pensionsbeitrag Gesamt pa "&amp;IF(C3&lt;2016,"(vor Übergangsregel)","")</f>
        <v xml:space="preserve">Pensionsbeitrag Gesamt pa </v>
      </c>
      <c r="B56" s="73"/>
      <c r="C56" s="55">
        <f>IF(COUNTBLANK(C5:C6)=2,0,MIN((945+1492.81)*12,MAX((18.9+14.93)*12,ROUNDDOWN(C54*C55,2))))</f>
        <v>405.96</v>
      </c>
      <c r="E56" s="21"/>
      <c r="F56" s="21"/>
      <c r="G56" s="21"/>
      <c r="H56" s="21"/>
      <c r="U56" s="22">
        <v>2024</v>
      </c>
      <c r="V56" s="22">
        <v>2021</v>
      </c>
      <c r="W56" s="69">
        <v>1</v>
      </c>
    </row>
    <row r="57" spans="1:23" ht="18.75" hidden="1" customHeight="1" x14ac:dyDescent="0.35">
      <c r="A57" s="74" t="s">
        <v>44</v>
      </c>
      <c r="B57" s="75"/>
      <c r="C57" s="16">
        <f>MAX(0,IF(C56&gt;=(945+14.93)*12,945*12,C56-(14.93*12)))</f>
        <v>226.79999999999998</v>
      </c>
      <c r="E57" s="21"/>
      <c r="F57" s="21"/>
      <c r="G57" s="21"/>
      <c r="H57" s="21"/>
      <c r="U57" s="22">
        <v>2025</v>
      </c>
      <c r="V57" s="22">
        <v>2022</v>
      </c>
      <c r="W57" s="69">
        <v>1</v>
      </c>
    </row>
    <row r="58" spans="1:23" ht="23.25" customHeight="1" thickBot="1" x14ac:dyDescent="0.4">
      <c r="A58" s="76" t="s">
        <v>45</v>
      </c>
      <c r="B58" s="77"/>
      <c r="C58" s="56">
        <f>C56-C57</f>
        <v>179.16</v>
      </c>
      <c r="D58" s="26"/>
      <c r="E58" s="21"/>
      <c r="F58" s="21"/>
      <c r="G58" s="21"/>
      <c r="H58" s="21"/>
      <c r="U58" s="22">
        <v>2026</v>
      </c>
      <c r="V58" s="22">
        <v>2023</v>
      </c>
      <c r="W58" s="69">
        <v>1</v>
      </c>
    </row>
    <row r="59" spans="1:23" ht="19.5" customHeight="1" x14ac:dyDescent="0.35">
      <c r="A59" s="78" t="str">
        <f>"Pensionsbeitrag Gesamt monatlich "&amp;IF(C3&lt;2016,"(vor Übergangsregel)","")</f>
        <v xml:space="preserve">Pensionsbeitrag Gesamt monatlich </v>
      </c>
      <c r="B59" s="79"/>
      <c r="C59" s="18">
        <f>ROUNDDOWN(C56/12,2)</f>
        <v>33.83</v>
      </c>
      <c r="D59" s="21"/>
      <c r="E59" s="21"/>
      <c r="F59" s="21"/>
      <c r="G59" s="21"/>
      <c r="H59" s="21"/>
      <c r="U59" s="22">
        <v>2027</v>
      </c>
      <c r="V59" s="22">
        <v>2024</v>
      </c>
      <c r="W59" s="69">
        <v>1</v>
      </c>
    </row>
    <row r="60" spans="1:23" ht="19.5" customHeight="1" x14ac:dyDescent="0.35">
      <c r="A60" s="80" t="s">
        <v>46</v>
      </c>
      <c r="B60" s="9"/>
      <c r="C60" s="19">
        <f>IF(C59=0,0,IF(C59&gt;945+14.93,945,MAX(C59-14.93,18.9)))</f>
        <v>18.899999999999999</v>
      </c>
      <c r="D60" s="21"/>
      <c r="E60" s="21"/>
      <c r="F60" s="21"/>
      <c r="G60" s="21"/>
      <c r="H60" s="21"/>
      <c r="U60" s="22">
        <v>2028</v>
      </c>
      <c r="V60" s="22">
        <v>2025</v>
      </c>
      <c r="W60" s="69">
        <v>1</v>
      </c>
    </row>
    <row r="61" spans="1:23" ht="19.5" customHeight="1" x14ac:dyDescent="0.35">
      <c r="A61" s="81" t="s">
        <v>47</v>
      </c>
      <c r="B61" s="82"/>
      <c r="C61" s="20">
        <f>IF(C59&gt;945+14.93,C59-945,C59-C60)</f>
        <v>14.93</v>
      </c>
      <c r="D61" s="21"/>
      <c r="E61" s="21"/>
      <c r="F61" s="21"/>
      <c r="G61" s="21"/>
      <c r="H61" s="21"/>
      <c r="U61" s="22">
        <v>2029</v>
      </c>
      <c r="V61" s="22">
        <v>2026</v>
      </c>
      <c r="W61" s="69">
        <v>1</v>
      </c>
    </row>
    <row r="62" spans="1:23" ht="21" x14ac:dyDescent="0.35">
      <c r="A62" s="36"/>
      <c r="B62" s="9"/>
      <c r="C62" s="9"/>
      <c r="D62" s="26"/>
      <c r="E62" s="21"/>
      <c r="F62" s="21"/>
      <c r="G62" s="21"/>
      <c r="H62" s="21"/>
    </row>
    <row r="63" spans="1:23" ht="15" customHeight="1" x14ac:dyDescent="0.35">
      <c r="A63" s="36"/>
      <c r="B63" s="1"/>
      <c r="C63" s="1"/>
      <c r="D63" s="21"/>
      <c r="E63" s="21"/>
      <c r="F63" s="21"/>
      <c r="G63" s="21"/>
      <c r="H63" s="21"/>
    </row>
    <row r="64" spans="1:23" ht="21" hidden="1" x14ac:dyDescent="0.35">
      <c r="A64" s="38"/>
      <c r="B64" s="83"/>
      <c r="C64" s="83"/>
      <c r="D64" s="21"/>
      <c r="E64" s="21"/>
      <c r="F64" s="21"/>
      <c r="G64" s="21"/>
      <c r="H64" s="21"/>
    </row>
    <row r="65" spans="1:8" ht="11.25" hidden="1" customHeight="1" x14ac:dyDescent="0.35">
      <c r="A65" s="83"/>
      <c r="B65" s="83"/>
      <c r="C65" s="83"/>
      <c r="D65" s="21"/>
      <c r="E65" s="21"/>
      <c r="F65" s="21"/>
      <c r="G65" s="21"/>
      <c r="H65" s="21"/>
    </row>
    <row r="66" spans="1:8" ht="18" hidden="1" customHeight="1" x14ac:dyDescent="0.35">
      <c r="A66" s="84" t="s">
        <v>60</v>
      </c>
      <c r="B66" s="85"/>
      <c r="C66" s="85"/>
      <c r="E66" s="27"/>
      <c r="F66" s="27"/>
      <c r="G66" s="27"/>
      <c r="H66" s="27"/>
    </row>
    <row r="67" spans="1:8" ht="18" hidden="1" customHeight="1" x14ac:dyDescent="0.35">
      <c r="A67" s="86"/>
      <c r="B67" s="87"/>
      <c r="C67" s="88"/>
      <c r="E67" s="28">
        <v>2014</v>
      </c>
      <c r="F67" s="28">
        <v>2015</v>
      </c>
      <c r="G67" s="28">
        <v>2016</v>
      </c>
      <c r="H67" s="28">
        <v>2017</v>
      </c>
    </row>
    <row r="68" spans="1:8" ht="18" hidden="1" customHeight="1" x14ac:dyDescent="0.35">
      <c r="A68" s="89" t="s">
        <v>49</v>
      </c>
      <c r="B68" s="90"/>
      <c r="C68" s="13"/>
      <c r="E68" s="29"/>
      <c r="F68" s="29"/>
      <c r="G68" s="29"/>
      <c r="H68" s="29"/>
    </row>
    <row r="69" spans="1:8" ht="18" hidden="1" customHeight="1" x14ac:dyDescent="0.35">
      <c r="A69" s="89" t="s">
        <v>50</v>
      </c>
      <c r="B69" s="90"/>
      <c r="C69" s="13"/>
      <c r="E69" s="29"/>
      <c r="F69" s="29"/>
      <c r="G69" s="29"/>
      <c r="H69" s="29"/>
    </row>
    <row r="70" spans="1:8" ht="18" hidden="1" customHeight="1" x14ac:dyDescent="0.35">
      <c r="A70" s="89" t="s">
        <v>51</v>
      </c>
      <c r="B70" s="91"/>
      <c r="C70" s="41"/>
      <c r="E70" s="30">
        <v>-0.5</v>
      </c>
      <c r="F70" s="30">
        <v>-0.5</v>
      </c>
      <c r="G70" s="30">
        <v>-0.5</v>
      </c>
      <c r="H70" s="30">
        <v>-0.5</v>
      </c>
    </row>
    <row r="71" spans="1:8" ht="18" hidden="1" customHeight="1" x14ac:dyDescent="0.35">
      <c r="A71" s="89" t="s">
        <v>62</v>
      </c>
      <c r="B71" s="92"/>
      <c r="C71" s="13"/>
      <c r="E71" s="31">
        <f>E68*(1+E70)</f>
        <v>0</v>
      </c>
      <c r="F71" s="31">
        <f>F68*(1+F70)</f>
        <v>0</v>
      </c>
      <c r="G71" s="31">
        <f>G68*(1+G70)</f>
        <v>0</v>
      </c>
      <c r="H71" s="31">
        <f>H68*(1+H70)</f>
        <v>0</v>
      </c>
    </row>
    <row r="72" spans="1:8" ht="18" hidden="1" customHeight="1" x14ac:dyDescent="0.35">
      <c r="A72" s="66" t="s">
        <v>52</v>
      </c>
      <c r="B72" s="93"/>
      <c r="C72" s="13"/>
      <c r="E72" s="31">
        <v>-6500</v>
      </c>
      <c r="F72" s="31">
        <v>-6500</v>
      </c>
      <c r="G72" s="31">
        <v>-6500</v>
      </c>
      <c r="H72" s="31">
        <v>-6500</v>
      </c>
    </row>
    <row r="73" spans="1:8" ht="18" hidden="1" customHeight="1" x14ac:dyDescent="0.35">
      <c r="A73" s="66" t="s">
        <v>53</v>
      </c>
      <c r="B73" s="93"/>
      <c r="C73" s="13"/>
      <c r="E73" s="31">
        <f>E71+E72</f>
        <v>-6500</v>
      </c>
      <c r="F73" s="31">
        <f>F71+F72</f>
        <v>-6500</v>
      </c>
      <c r="G73" s="31">
        <f>G71+G72</f>
        <v>-6500</v>
      </c>
      <c r="H73" s="31">
        <f>H71+H72</f>
        <v>-6500</v>
      </c>
    </row>
    <row r="74" spans="1:8" ht="18" hidden="1" customHeight="1" x14ac:dyDescent="0.35">
      <c r="A74" s="89" t="s">
        <v>43</v>
      </c>
      <c r="B74" s="91"/>
      <c r="C74" s="14"/>
      <c r="E74" s="32">
        <v>0.12</v>
      </c>
      <c r="F74" s="32">
        <v>0.12</v>
      </c>
      <c r="G74" s="32">
        <v>0.12</v>
      </c>
      <c r="H74" s="32">
        <v>0.12</v>
      </c>
    </row>
    <row r="75" spans="1:8" ht="18" hidden="1" customHeight="1" x14ac:dyDescent="0.35">
      <c r="A75" s="89" t="s">
        <v>61</v>
      </c>
      <c r="B75" s="94"/>
      <c r="C75" s="45"/>
      <c r="E75" s="2">
        <f>IF(AND(E68=0,E69=0),0,IF(ROUND((((E68*0.95)+(E69*(1+$C$51)))-MIN(6500,(E68*0.95)+(E69*(1+$C$51))))*$C$55,0)&lt;405.94,405.94,IF(ROUND((((E68*0.95)+(E69*(1+$C$51)))-MIN(6500,(E68*0.95)+(E69*(1+$C$51))))*$C$55,0)&gt;29253.75,29253.75,ROUND((((E68*0.95)+(E69*(1+$C$51)))-MIN(6500,(E68*0.95)+(E69*(1+$C$51))))*$C$55,0))))</f>
        <v>0</v>
      </c>
      <c r="F75" s="2">
        <f>IF(AND(F68=0,F69=0),0,IF(ROUND((((F68*0.95)+(F69*(1+$C$51)))-MIN(6500,(F68*0.95)+(F69*(1+$C$51))))*$C$55,0)&lt;405.94,405.94,IF(ROUND((((F68*0.95)+(F69*(1+$C$51)))-MIN(6500,(F68*0.95)+(F69*(1+$C$51))))*$C$55,0)&gt;29253.75,29253.75,ROUND((((F68*0.95)+(F69*(1+$C$51)))-MIN(6500,(F68*0.95)+(F69*(1+$C$51))))*$C$55,0))))</f>
        <v>0</v>
      </c>
      <c r="G75" s="2">
        <f>IF(AND(G68=0,G69=0),0,IF(ROUND((((G68*0.95)+(G69*(1+$C$51)))-MIN(6500,(G68*0.95)+(G69*(1+$C$51))))*$C$55,0)&lt;405.94,405.94,IF(ROUND((((G68*0.95)+(G69*(1+$C$51)))-MIN(6500,(G68*0.95)+(G69*(1+$C$51))))*$C$55,0)&gt;29253.75,29253.75,ROUND((((G68*0.95)+(G69*(1+$C$51)))-MIN(6500,(G68*0.95)+(G69*(1+$C$51))))*$C$55,0))))</f>
        <v>0</v>
      </c>
      <c r="H75" s="2">
        <f>IF(AND(H68=0,H69=0),0,IF(ROUND((((H68*0.95)+(H69*(1+$C$51)))-MIN(6500,(H68*0.95)+(H69*(1+$C$51))))*$C$55,0)&lt;405.94,405.94,IF(ROUND((((H68*0.95)+(H69*(1+$C$51)))-MIN(6500,(H68*0.95)+(H69*(1+$C$51))))*$C$55,0)&gt;29253.75,29253.75,ROUND((((H68*0.95)+(H69*(1+$C$51)))-MIN(6500,(H68*0.95)+(H69*(1+$C$51))))*$C$55,0))))</f>
        <v>0</v>
      </c>
    </row>
    <row r="76" spans="1:8" ht="18" customHeight="1" thickBot="1" x14ac:dyDescent="0.4">
      <c r="A76" s="95" t="str">
        <f>IF(OR(C3=2013,C3=2014,C3=2015),"Übergangsregel (wirkt ggf nur in den  Beitragsjahren 2013, 2014, 2015)","")</f>
        <v/>
      </c>
      <c r="B76" s="96"/>
      <c r="C76" s="49"/>
      <c r="D76" s="58" t="str">
        <f>IF(C3&gt;=2016,"Mit Ende 2015 ist die Übergangsregel ausgelaufen, Eingaben für 2012 sind nicht mehr erforderlich.","")</f>
        <v>Mit Ende 2015 ist die Übergangsregel ausgelaufen, Eingaben für 2012 sind nicht mehr erforderlich.</v>
      </c>
      <c r="F76" s="3"/>
      <c r="G76" s="3"/>
      <c r="H76" s="3"/>
    </row>
    <row r="77" spans="1:8" ht="18" customHeight="1" x14ac:dyDescent="0.35">
      <c r="A77" s="97" t="str">
        <f>IF(C3&lt;2016,"Pensionsbeitrag Gesamt 2012 (!) pa","")</f>
        <v/>
      </c>
      <c r="B77" s="112"/>
      <c r="C77" s="50"/>
      <c r="D77" s="25" t="str">
        <f>IF(OR(C3=2013,C3=2014,C3=2015),IF(OR(C77="",C77&lt;0),"Die Wirkung der Übergangsregel (s.u.) ist nur darstellbar, wenn Sie in c77 optional Ihren Jahresbeitrag 2012 (!) eingeben; ggf. Schätzung","Sie haben als gez. Pensionsbeitrag 2012 € "&amp;TEXT(C77,"#.##0,00 ")&amp;" eingegeben"),"..")</f>
        <v>..</v>
      </c>
      <c r="F77" s="3"/>
      <c r="G77" s="3"/>
      <c r="H77" s="3"/>
    </row>
    <row r="78" spans="1:8" ht="18" customHeight="1" x14ac:dyDescent="0.35">
      <c r="A78" s="98" t="str">
        <f>IF(A77="","","Differenz zwischen akt. Beitragsjahr = "&amp;C3&amp;" und Beitrag 2012")</f>
        <v/>
      </c>
      <c r="B78" s="46"/>
      <c r="C78" s="99" t="str">
        <f>IF(OR(A77="",C77="",C56=0),"",C56-C77)</f>
        <v/>
      </c>
      <c r="D78" s="25" t="str">
        <f>IFERROR("Die Differenz zum berechneten Beitrag "&amp;C3&amp;" beträgt € "&amp;TEXT(C78,"#.##0,00")&amp;" bzw. ca. "&amp;TEXT(((C78+0.00001)/C56),"0,0 %")&amp;" - bitte ggf. prüfen",".")</f>
        <v>.</v>
      </c>
      <c r="E78" s="4">
        <f>IF(AND(E68=0,E69=0),0,E75-$B75)</f>
        <v>0</v>
      </c>
      <c r="F78" s="4">
        <f>IF(AND(F68=0,F69=0),0,F75-$B75)</f>
        <v>0</v>
      </c>
      <c r="G78" s="4">
        <f>IF(AND(G68=0,G69=0),0,G75-$B75)</f>
        <v>0</v>
      </c>
      <c r="H78" s="33"/>
    </row>
    <row r="79" spans="1:8" ht="18" customHeight="1" x14ac:dyDescent="0.35">
      <c r="A79" s="98" t="str">
        <f>IF(A77="","","Übergangsregel, Faktoren in Folgejahren (25% / 50% / 75% / 100%)")</f>
        <v/>
      </c>
      <c r="B79" s="100"/>
      <c r="C79" s="48" t="str">
        <f>IF(OR(A77="",C77="",C56=0),"",IFERROR(VLOOKUP(C3,U6:W61,3,FALSE),"-"))</f>
        <v/>
      </c>
      <c r="E79" s="5">
        <v>0.5</v>
      </c>
      <c r="F79" s="5">
        <v>0.75</v>
      </c>
      <c r="G79" s="5">
        <v>1</v>
      </c>
      <c r="H79" s="33"/>
    </row>
    <row r="80" spans="1:8" ht="18" customHeight="1" thickBot="1" x14ac:dyDescent="0.4">
      <c r="A80" s="101" t="str">
        <f>IF(A77="","","Inanspruchnahme in Folgejahren (pos. oder neg.), sofern &lt; oder &gt; € 120pa")</f>
        <v/>
      </c>
      <c r="B80" s="102"/>
      <c r="C80" s="43" t="str">
        <f>IF(OR(A77="",C77="",C56=0),"",IF(ABS(C78)&lt;=120,0,IFERROR(C78*C79,"")))</f>
        <v/>
      </c>
      <c r="D80" s="25" t="str">
        <f>IF(C80="",".",IF(AND(C77&lt;&gt;"",ABS(C78)&lt;=120),"Bagatellgrenze von +/- 120 € pa nicht erreicht","."))</f>
        <v>.</v>
      </c>
      <c r="E80" s="6">
        <f>IF(C75&lt;&gt;0,IF(ABS(E78)&lt;120,0,ROUND(E78*E79,0)),0)</f>
        <v>0</v>
      </c>
      <c r="F80" s="6">
        <f>IF(E75&lt;&gt;0,IF(ABS(F78)&lt;120,0,ROUND(F78*F79,0)),0)</f>
        <v>0</v>
      </c>
      <c r="G80" s="6">
        <f>IF(F75&lt;&gt;0,IF(ABS(G78)&lt;120,0,ROUND(G78*G79,0)),0)</f>
        <v>0</v>
      </c>
      <c r="H80" s="3">
        <f>-H78*H79</f>
        <v>0</v>
      </c>
    </row>
    <row r="81" spans="1:8" ht="18" customHeight="1" x14ac:dyDescent="0.35">
      <c r="A81" s="103" t="str">
        <f>IF(A77="","","Tatsächliche Vorschreibung pa (nach Übergangsregel)")</f>
        <v/>
      </c>
      <c r="B81" s="104"/>
      <c r="C81" s="51" t="str">
        <f>IF(A77="","",IF(AND(C77&lt;&gt;"",C78&lt;&gt;"",C80&lt;&gt;""),C77+C80,""))</f>
        <v/>
      </c>
      <c r="E81" s="7">
        <f>IF(AND(E75=0,E78=0),0,$B$75+E80)</f>
        <v>0</v>
      </c>
      <c r="F81" s="7">
        <f>IF(AND(F75=0,F78=0),0,$B$75+F80)</f>
        <v>0</v>
      </c>
      <c r="G81" s="7">
        <f>IF(AND(G75=0,G78=0),0,$B$75+G80)</f>
        <v>0</v>
      </c>
      <c r="H81" s="7">
        <f>H75+H80</f>
        <v>0</v>
      </c>
    </row>
    <row r="82" spans="1:8" ht="18" hidden="1" customHeight="1" x14ac:dyDescent="0.35">
      <c r="A82" s="105" t="str">
        <f>IF(A77="","","davon Grundrente und Anspruchserwerb, pa, gerundet")</f>
        <v/>
      </c>
      <c r="B82" s="91"/>
      <c r="C82" s="52" t="str">
        <f>IF(OR(B78=0,C56=0,C81=""),"",IF(C81&gt;=(945+14.93)*12,945*12,IF((C81-(14.93*12))&lt;(12*18.9),12*18.9,((C81-(14.93*12))))))</f>
        <v/>
      </c>
      <c r="E82" s="2">
        <f>IF(E68=0,0,IF(E81&gt;=(945+14.93)*12,945*12,E81-(14.93*12)))</f>
        <v>0</v>
      </c>
      <c r="F82" s="2">
        <f>IF(F68=0,0,IF(F81&gt;=(945+14.93)*12,945*12,F81-(14.93*12)))</f>
        <v>0</v>
      </c>
      <c r="G82" s="2">
        <f>IF(G68=0,0,IF(G81&gt;=(945+14.93)*12,945*12,G81-(14.93*12)))</f>
        <v>0</v>
      </c>
      <c r="H82" s="2">
        <f>IF(H68=0,0,IF(H81&gt;=(945+14.93)*12,945*12,H81-(14.93*12)))</f>
        <v>0</v>
      </c>
    </row>
    <row r="83" spans="1:8" ht="18" hidden="1" customHeight="1" thickBot="1" x14ac:dyDescent="0.4">
      <c r="A83" s="106" t="s">
        <v>59</v>
      </c>
      <c r="B83" s="107"/>
      <c r="C83" s="53" t="str">
        <f>IF(ISERROR(C81-C82),"",(C81-C82))</f>
        <v/>
      </c>
      <c r="E83" s="2">
        <f>E81-E82</f>
        <v>0</v>
      </c>
      <c r="F83" s="2">
        <f>F81-F82</f>
        <v>0</v>
      </c>
      <c r="G83" s="2">
        <f>G81-G82</f>
        <v>0</v>
      </c>
      <c r="H83" s="2">
        <f>H81-H82</f>
        <v>0</v>
      </c>
    </row>
    <row r="84" spans="1:8" ht="18" customHeight="1" x14ac:dyDescent="0.35">
      <c r="A84" s="108" t="str">
        <f>IF(A77="","","Tatsächliche Vorschreibung monatlich (nach Übergangsregel)")</f>
        <v/>
      </c>
      <c r="B84" s="109"/>
      <c r="C84" s="18" t="str">
        <f>IF(A77="","",IFERROR(ROUNDDOWN(C81/12,2),""))</f>
        <v/>
      </c>
      <c r="E84" s="8"/>
      <c r="F84" s="8"/>
      <c r="G84" s="8"/>
      <c r="H84" s="8"/>
    </row>
    <row r="85" spans="1:8" ht="18" customHeight="1" x14ac:dyDescent="0.35">
      <c r="A85" s="110" t="str">
        <f>IF(A77="","","davon Grundrente und Anspruchserwerb, monatlich, gerundet")</f>
        <v/>
      </c>
      <c r="B85" s="35"/>
      <c r="C85" s="44" t="str">
        <f>IF(A77="","",IF(C84="","",IF(C84&gt;945+14.93,945,MAX(C84-14.93,18.9))))</f>
        <v/>
      </c>
      <c r="E85" s="8"/>
      <c r="F85" s="8"/>
      <c r="G85" s="8"/>
      <c r="H85" s="8"/>
    </row>
    <row r="86" spans="1:8" ht="18" customHeight="1" x14ac:dyDescent="0.35">
      <c r="A86" s="34" t="str">
        <f>IF(A77="","","davon Zusatzleistung und Anspruchserwerb, monatlich, gerundet")</f>
        <v/>
      </c>
      <c r="B86" s="35"/>
      <c r="C86" s="44" t="str">
        <f>IF(A77="","",IF(C84="","",IF(C84&gt;945+14.93,C84-945,C84-C85)))</f>
        <v/>
      </c>
      <c r="E86" s="8"/>
      <c r="F86" s="8"/>
      <c r="G86" s="8"/>
      <c r="H86" s="8"/>
    </row>
    <row r="87" spans="1:8" ht="18" customHeight="1" x14ac:dyDescent="0.35">
      <c r="A87" s="36" t="s">
        <v>54</v>
      </c>
      <c r="B87" s="37"/>
      <c r="C87" s="8"/>
      <c r="E87" s="8"/>
      <c r="F87" s="8"/>
      <c r="G87" s="8"/>
      <c r="H87" s="8"/>
    </row>
    <row r="88" spans="1:8" ht="18" customHeight="1" x14ac:dyDescent="0.25">
      <c r="A88" s="36" t="s">
        <v>58</v>
      </c>
      <c r="B88" s="38"/>
      <c r="C88" s="38"/>
    </row>
    <row r="89" spans="1:8" ht="18" customHeight="1" x14ac:dyDescent="0.25">
      <c r="A89" s="36" t="s">
        <v>48</v>
      </c>
      <c r="B89" s="38"/>
      <c r="C89" s="38"/>
    </row>
    <row r="90" spans="1:8" ht="18" customHeight="1" x14ac:dyDescent="0.25">
      <c r="A90" s="36"/>
      <c r="B90" s="38"/>
      <c r="C90" s="38"/>
    </row>
    <row r="91" spans="1:8" ht="18" customHeight="1" x14ac:dyDescent="0.25">
      <c r="A91" s="42"/>
    </row>
    <row r="92" spans="1:8" ht="18" customHeight="1" x14ac:dyDescent="0.25">
      <c r="A92" s="42"/>
      <c r="B92" s="40"/>
    </row>
    <row r="93" spans="1:8" ht="18" customHeight="1" x14ac:dyDescent="0.25">
      <c r="A93" s="42"/>
      <c r="B93" s="40"/>
    </row>
    <row r="94" spans="1:8" ht="18" customHeight="1" x14ac:dyDescent="0.25">
      <c r="A94" s="39"/>
      <c r="B94" s="40"/>
    </row>
    <row r="95" spans="1:8" ht="18" customHeight="1" x14ac:dyDescent="0.25">
      <c r="A95" s="42"/>
      <c r="B95" s="40"/>
    </row>
    <row r="96" spans="1:8" ht="18" customHeight="1" x14ac:dyDescent="0.25">
      <c r="A96" s="39"/>
      <c r="B96" s="40"/>
    </row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4.1" customHeight="1" x14ac:dyDescent="0.25"/>
    <row r="105" ht="14.1" customHeight="1" x14ac:dyDescent="0.25"/>
    <row r="106" ht="14.1" customHeight="1" x14ac:dyDescent="0.25"/>
    <row r="107" ht="14.1" customHeight="1" x14ac:dyDescent="0.25"/>
    <row r="108" ht="14.1" customHeight="1" x14ac:dyDescent="0.25"/>
    <row r="109" ht="14.1" customHeight="1" x14ac:dyDescent="0.25"/>
    <row r="110" ht="14.1" customHeight="1" x14ac:dyDescent="0.25"/>
    <row r="111" ht="14.1" customHeight="1" x14ac:dyDescent="0.25"/>
  </sheetData>
  <sheetProtection password="EBA5" sheet="1" selectLockedCells="1"/>
  <dataValidations xWindow="787" yWindow="356" count="3">
    <dataValidation type="list" allowBlank="1" showInputMessage="1" showErrorMessage="1" prompt="Bitte auswählen" sqref="C49">
      <formula1>$C$10:$C$48</formula1>
    </dataValidation>
    <dataValidation type="whole" operator="lessThanOrEqual" allowBlank="1" showInputMessage="1" showErrorMessage="1" errorTitle="nur negative Zahlen möglich" error="nur negative Zahlen möglich" promptTitle="0 oder negative Werte eingeben" prompt="0 oder negative Werte eingeben" sqref="C7:C8">
      <formula1>0</formula1>
    </dataValidation>
    <dataValidation type="custom" allowBlank="1" showInputMessage="1" showErrorMessage="1" errorTitle="Nur &quot;J&quot; oder &quot;N&quot; eingeben" error="Bitte nur &quot;J&quot; oder &quot;N&quot; eingeben" promptTitle="J oder N eingeben" prompt="&quot;J&quot; oder &quot;N&quot; für Ja oder Nein angeben" sqref="C9">
      <formula1>OR(C9="J",C9="N")</formula1>
    </dataValidation>
  </dataValidations>
  <pageMargins left="0.70866141732283472" right="0.70866141732283472" top="0.78740157480314965" bottom="0.78740157480314965" header="0.31496062992125984" footer="0.31496062992125984"/>
  <pageSetup paperSize="9" scale="73" orientation="portrait" r:id="rId1"/>
  <headerFooter>
    <oddFooter>&amp;L&amp;8&amp;F&amp;A&amp;C&amp;8V1_k2170815&amp;R&amp;8Druckdatum: &amp;D; &amp;T</oddFooter>
  </headerFooter>
  <ignoredErrors>
    <ignoredError sqref="C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Beitragsrechner2013ff</vt:lpstr>
      <vt:lpstr>Beitragsrechner2013ff!Druckbereich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Ladenbauer</dc:creator>
  <cp:lastModifiedBy>Wurian Kristof, Mag. - Ärztekammer für NÖ</cp:lastModifiedBy>
  <cp:lastPrinted>2016-01-11T09:33:59Z</cp:lastPrinted>
  <dcterms:created xsi:type="dcterms:W3CDTF">2012-12-07T12:25:31Z</dcterms:created>
  <dcterms:modified xsi:type="dcterms:W3CDTF">2024-09-04T09:00:23Z</dcterms:modified>
</cp:coreProperties>
</file>